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995" windowHeight="7710" activeTab="0"/>
  </bookViews>
  <sheets>
    <sheet name="реконст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<sst xmlns="http://schemas.openxmlformats.org/spreadsheetml/2006/main" count="45" uniqueCount="36">
  <si>
    <t>статья доходов (расходов)</t>
  </si>
  <si>
    <t>Приложение П</t>
  </si>
  <si>
    <t>всего</t>
  </si>
  <si>
    <t>СПИ</t>
  </si>
  <si>
    <t>Rни</t>
  </si>
  <si>
    <t>Реконструкция за счет  за собственных средств</t>
  </si>
  <si>
    <t>Rнп</t>
  </si>
  <si>
    <t>прямые денежные затраты, всего</t>
  </si>
  <si>
    <r>
      <t xml:space="preserve">Ставка дисконтирования/100 </t>
    </r>
    <r>
      <rPr>
        <b/>
        <sz val="11"/>
        <color indexed="10"/>
        <rFont val="Calibri"/>
        <family val="2"/>
      </rPr>
      <t>(Ri)</t>
    </r>
  </si>
  <si>
    <t>в том числе:</t>
  </si>
  <si>
    <r>
      <t xml:space="preserve">Ставка рефинансирования </t>
    </r>
    <r>
      <rPr>
        <b/>
        <sz val="11"/>
        <color indexed="17"/>
        <rFont val="Calibri"/>
        <family val="2"/>
      </rPr>
      <t>(Rr)</t>
    </r>
  </si>
  <si>
    <r>
      <t xml:space="preserve"> - затраты на реконструкцию</t>
    </r>
    <r>
      <rPr>
        <sz val="11"/>
        <color indexed="1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(Св)</t>
    </r>
  </si>
  <si>
    <t>срок кредита</t>
  </si>
  <si>
    <r>
      <t xml:space="preserve"> - выплаты по налогу на имущество</t>
    </r>
    <r>
      <rPr>
        <b/>
        <sz val="11"/>
        <color indexed="17"/>
        <rFont val="Calibri"/>
        <family val="2"/>
      </rPr>
      <t>(TP)= (Ни)</t>
    </r>
  </si>
  <si>
    <r>
      <t xml:space="preserve">ставка кредита  </t>
    </r>
    <r>
      <rPr>
        <b/>
        <sz val="11"/>
        <color indexed="17"/>
        <rFont val="Calibri"/>
        <family val="2"/>
      </rPr>
      <t>(Ri)</t>
    </r>
  </si>
  <si>
    <t>Неденежные затраты (амортизация) (бух.учет)</t>
  </si>
  <si>
    <r>
      <t xml:space="preserve">Амортизация (налоговый учет) </t>
    </r>
    <r>
      <rPr>
        <b/>
        <sz val="11"/>
        <color indexed="17"/>
        <rFont val="Calibri"/>
        <family val="2"/>
      </rPr>
      <t>(Ан)</t>
    </r>
  </si>
  <si>
    <r>
      <t>Налоговые вычеты, всего</t>
    </r>
    <r>
      <rPr>
        <sz val="11"/>
        <color indexed="1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(TD)</t>
    </r>
  </si>
  <si>
    <t>СП</t>
  </si>
  <si>
    <t>- НДС</t>
  </si>
  <si>
    <t>Еж. Ам-я</t>
  </si>
  <si>
    <r>
      <t xml:space="preserve"> - налог на прибыль </t>
    </r>
    <r>
      <rPr>
        <b/>
        <sz val="11"/>
        <color indexed="17"/>
        <rFont val="Calibri"/>
        <family val="2"/>
      </rPr>
      <t>(Энп)</t>
    </r>
  </si>
  <si>
    <t>ОСПИ</t>
  </si>
  <si>
    <r>
      <t>Чистый денежный поток</t>
    </r>
    <r>
      <rPr>
        <b/>
        <sz val="11"/>
        <color indexed="17"/>
        <rFont val="Calibri"/>
        <family val="2"/>
      </rPr>
      <t>(OMCF)</t>
    </r>
  </si>
  <si>
    <t>Самортизировано</t>
  </si>
  <si>
    <r>
      <t>Дисконтированный денежный поток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(PV(OMCF))</t>
    </r>
  </si>
  <si>
    <t>Остаточная стоиомсть</t>
  </si>
  <si>
    <t>Реконструкция за счет кредита</t>
  </si>
  <si>
    <t>Новая стоимость</t>
  </si>
  <si>
    <r>
      <t xml:space="preserve"> - выплата основного долга по кредиту </t>
    </r>
    <r>
      <rPr>
        <b/>
        <sz val="11"/>
        <color indexed="17"/>
        <rFont val="Calibri"/>
        <family val="2"/>
      </rPr>
      <t>(V)</t>
    </r>
  </si>
  <si>
    <r>
      <t xml:space="preserve"> - проценты по крдиту </t>
    </r>
    <r>
      <rPr>
        <b/>
        <sz val="11"/>
        <color indexed="17"/>
        <rFont val="Calibri"/>
        <family val="2"/>
      </rPr>
      <t>(I)</t>
    </r>
  </si>
  <si>
    <r>
      <t>Амортизация (налоговый учет)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(Ан)</t>
    </r>
  </si>
  <si>
    <r>
      <t xml:space="preserve"> - налог на прибыль </t>
    </r>
    <r>
      <rPr>
        <sz val="11"/>
        <color indexed="17"/>
        <rFont val="Calibri"/>
        <family val="2"/>
      </rPr>
      <t>(Энп)</t>
    </r>
  </si>
  <si>
    <r>
      <t xml:space="preserve">Чистый денежный поток </t>
    </r>
    <r>
      <rPr>
        <b/>
        <sz val="11"/>
        <color indexed="17"/>
        <rFont val="Calibri"/>
        <family val="2"/>
      </rPr>
      <t>(CCF)</t>
    </r>
  </si>
  <si>
    <r>
      <t>Дисконтированный денежный поток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(PV(CCF))</t>
    </r>
  </si>
  <si>
    <t>pv (ccf) /pv (omcf)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</si>
</sst>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ourier"/>
      <family val="1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sz val="11"/>
      <color rgb="FF000000"/>
      <name val="Calibri"/>
      <family val="2"/>
    </font>
    <font>
      <sz val="8"/>
      <color rgb="FF000000"/>
      <name val="Courier"/>
      <family val="1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64" applyFont="1" applyBorder="1" applyAlignment="1">
      <alignment/>
    </xf>
    <xf numFmtId="0" fontId="4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43" fontId="0" fillId="0" borderId="14" xfId="64" applyFont="1" applyBorder="1" applyAlignment="1">
      <alignment/>
    </xf>
    <xf numFmtId="0" fontId="0" fillId="0" borderId="15" xfId="0" applyBorder="1" applyAlignment="1">
      <alignment/>
    </xf>
    <xf numFmtId="164" fontId="0" fillId="0" borderId="16" xfId="64" applyNumberFormat="1" applyFont="1" applyBorder="1" applyAlignment="1">
      <alignment/>
    </xf>
    <xf numFmtId="164" fontId="0" fillId="0" borderId="17" xfId="64" applyNumberFormat="1" applyFont="1" applyBorder="1" applyAlignment="1">
      <alignment/>
    </xf>
    <xf numFmtId="49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64" applyNumberFormat="1" applyFont="1" applyAlignment="1">
      <alignment/>
    </xf>
    <xf numFmtId="164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164" fontId="0" fillId="0" borderId="19" xfId="64" applyNumberFormat="1" applyFont="1" applyBorder="1" applyAlignment="1">
      <alignment/>
    </xf>
    <xf numFmtId="164" fontId="0" fillId="0" borderId="20" xfId="64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38" fillId="0" borderId="21" xfId="0" applyFont="1" applyBorder="1" applyAlignment="1">
      <alignment/>
    </xf>
    <xf numFmtId="43" fontId="0" fillId="0" borderId="22" xfId="64" applyFont="1" applyBorder="1" applyAlignment="1">
      <alignment/>
    </xf>
    <xf numFmtId="49" fontId="0" fillId="0" borderId="15" xfId="0" applyNumberFormat="1" applyFill="1" applyBorder="1" applyAlignment="1">
      <alignment/>
    </xf>
    <xf numFmtId="43" fontId="0" fillId="0" borderId="0" xfId="0" applyNumberFormat="1" applyAlignment="1">
      <alignment/>
    </xf>
    <xf numFmtId="164" fontId="0" fillId="0" borderId="16" xfId="64" applyNumberFormat="1" applyFont="1" applyFill="1" applyBorder="1" applyAlignment="1">
      <alignment/>
    </xf>
    <xf numFmtId="43" fontId="4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43" fontId="0" fillId="34" borderId="0" xfId="64" applyFont="1" applyFill="1" applyAlignment="1">
      <alignment/>
    </xf>
    <xf numFmtId="164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нстр (2)"/>
      <sheetName val="труд1"/>
      <sheetName val="Лист1"/>
      <sheetName val="реконстр"/>
      <sheetName val="До пяти лет"/>
      <sheetName val="Лист2"/>
    </sheetNames>
    <sheetDataSet>
      <sheetData sheetId="4">
        <row r="10">
          <cell r="D10">
            <v>46102.40159999999</v>
          </cell>
        </row>
        <row r="11">
          <cell r="D11">
            <v>45334.02823999999</v>
          </cell>
        </row>
        <row r="12">
          <cell r="D12">
            <v>44565.654879999995</v>
          </cell>
        </row>
        <row r="13">
          <cell r="D13">
            <v>43797.28152</v>
          </cell>
        </row>
        <row r="14">
          <cell r="D14">
            <v>43028.90815999999</v>
          </cell>
        </row>
        <row r="15">
          <cell r="D15">
            <v>42260.534799999994</v>
          </cell>
        </row>
        <row r="16">
          <cell r="D16">
            <v>41492.161439999996</v>
          </cell>
        </row>
        <row r="17">
          <cell r="D17">
            <v>40723.78807999999</v>
          </cell>
        </row>
        <row r="18">
          <cell r="D18">
            <v>39955.41471999999</v>
          </cell>
        </row>
        <row r="19">
          <cell r="D19">
            <v>39187.041359999996</v>
          </cell>
        </row>
        <row r="20">
          <cell r="D20">
            <v>38418.66799999999</v>
          </cell>
        </row>
        <row r="21">
          <cell r="D21">
            <v>37650.29463999999</v>
          </cell>
        </row>
        <row r="22">
          <cell r="D22">
            <v>36881.921279999995</v>
          </cell>
        </row>
        <row r="23">
          <cell r="D23">
            <v>36113.54791999999</v>
          </cell>
        </row>
        <row r="24">
          <cell r="D24">
            <v>35345.17455999999</v>
          </cell>
        </row>
        <row r="25">
          <cell r="D25">
            <v>34576.801199999994</v>
          </cell>
        </row>
        <row r="26">
          <cell r="D26">
            <v>33808.42784</v>
          </cell>
        </row>
        <row r="27">
          <cell r="D27">
            <v>33040.05448</v>
          </cell>
        </row>
        <row r="28">
          <cell r="D28">
            <v>32271.681119999997</v>
          </cell>
        </row>
        <row r="29">
          <cell r="D29">
            <v>31503.30776</v>
          </cell>
        </row>
        <row r="30">
          <cell r="D30">
            <v>30734.934400000002</v>
          </cell>
        </row>
        <row r="31">
          <cell r="D31">
            <v>29966.561039999993</v>
          </cell>
        </row>
        <row r="32">
          <cell r="D32">
            <v>29198.18767999999</v>
          </cell>
        </row>
        <row r="33">
          <cell r="D33">
            <v>28429.814319999994</v>
          </cell>
        </row>
        <row r="34">
          <cell r="D34">
            <v>27661.440959999993</v>
          </cell>
        </row>
        <row r="35">
          <cell r="D35">
            <v>26893.067599999988</v>
          </cell>
        </row>
        <row r="36">
          <cell r="D36">
            <v>26124.69423999999</v>
          </cell>
        </row>
        <row r="37">
          <cell r="D37">
            <v>25356.32087999999</v>
          </cell>
        </row>
        <row r="38">
          <cell r="D38">
            <v>24587.947519999987</v>
          </cell>
        </row>
        <row r="39">
          <cell r="D39">
            <v>23819.574159999982</v>
          </cell>
        </row>
        <row r="40">
          <cell r="D40">
            <v>23051.200799999984</v>
          </cell>
        </row>
        <row r="41">
          <cell r="D41">
            <v>22282.827439999983</v>
          </cell>
        </row>
        <row r="42">
          <cell r="D42">
            <v>21514.45407999998</v>
          </cell>
        </row>
        <row r="43">
          <cell r="D43">
            <v>20746.08071999998</v>
          </cell>
        </row>
        <row r="44">
          <cell r="D44">
            <v>19977.70735999998</v>
          </cell>
        </row>
        <row r="45">
          <cell r="D45">
            <v>19209.333999999977</v>
          </cell>
        </row>
        <row r="46">
          <cell r="D46">
            <v>18440.960639999976</v>
          </cell>
        </row>
        <row r="47">
          <cell r="D47">
            <v>17672.587279999974</v>
          </cell>
        </row>
        <row r="48">
          <cell r="D48">
            <v>16904.213919999976</v>
          </cell>
        </row>
        <row r="49">
          <cell r="D49">
            <v>16135.840559999979</v>
          </cell>
        </row>
        <row r="50">
          <cell r="D50">
            <v>15367.467199999981</v>
          </cell>
        </row>
        <row r="51">
          <cell r="D51">
            <v>14599.093839999983</v>
          </cell>
        </row>
        <row r="52">
          <cell r="D52">
            <v>13830.720479999985</v>
          </cell>
        </row>
        <row r="53">
          <cell r="D53">
            <v>13062.347119999986</v>
          </cell>
        </row>
        <row r="54">
          <cell r="D54">
            <v>12293.973759999988</v>
          </cell>
        </row>
        <row r="55">
          <cell r="D55">
            <v>11525.60039999999</v>
          </cell>
        </row>
        <row r="56">
          <cell r="D56">
            <v>10757.227039999992</v>
          </cell>
        </row>
        <row r="57">
          <cell r="D57">
            <v>9988.853679999995</v>
          </cell>
        </row>
        <row r="58">
          <cell r="D58">
            <v>9220.480319999995</v>
          </cell>
        </row>
        <row r="59">
          <cell r="D59">
            <v>8452.106959999997</v>
          </cell>
        </row>
        <row r="60">
          <cell r="D60">
            <v>7683.7336000000005</v>
          </cell>
        </row>
        <row r="61">
          <cell r="D61">
            <v>6915.360240000002</v>
          </cell>
        </row>
        <row r="62">
          <cell r="D62">
            <v>6146.986880000004</v>
          </cell>
        </row>
        <row r="63">
          <cell r="D63">
            <v>5378.613520000005</v>
          </cell>
        </row>
        <row r="64">
          <cell r="D64">
            <v>4610.240160000008</v>
          </cell>
        </row>
        <row r="65">
          <cell r="D65">
            <v>3841.8668000000093</v>
          </cell>
        </row>
        <row r="66">
          <cell r="D66">
            <v>3073.493440000011</v>
          </cell>
        </row>
        <row r="67">
          <cell r="D67">
            <v>2305.120080000013</v>
          </cell>
        </row>
        <row r="68">
          <cell r="D68">
            <v>1536.7467200000149</v>
          </cell>
        </row>
        <row r="69">
          <cell r="D69">
            <v>768.3733600000166</v>
          </cell>
        </row>
      </sheetData>
      <sheetData sheetId="5">
        <row r="13">
          <cell r="F13">
            <v>450000</v>
          </cell>
        </row>
        <row r="14">
          <cell r="F14">
            <v>3457680.1199999996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="80" zoomScaleNormal="80" zoomScalePageLayoutView="0" workbookViewId="0" topLeftCell="A7">
      <selection activeCell="B26" sqref="B26:O30"/>
    </sheetView>
  </sheetViews>
  <sheetFormatPr defaultColWidth="9.140625" defaultRowHeight="15"/>
  <cols>
    <col min="1" max="1" width="47.140625" style="0" bestFit="1" customWidth="1"/>
    <col min="2" max="2" width="20.421875" style="0" customWidth="1"/>
    <col min="3" max="3" width="19.28125" style="0" bestFit="1" customWidth="1"/>
    <col min="4" max="4" width="16.7109375" style="0" bestFit="1" customWidth="1"/>
    <col min="5" max="5" width="22.00390625" style="0" customWidth="1"/>
    <col min="6" max="6" width="16.28125" style="0" customWidth="1"/>
    <col min="7" max="7" width="22.00390625" style="0" customWidth="1"/>
    <col min="8" max="8" width="15.57421875" style="0" bestFit="1" customWidth="1"/>
    <col min="9" max="9" width="21.57421875" style="0" bestFit="1" customWidth="1"/>
    <col min="10" max="10" width="14.140625" style="0" bestFit="1" customWidth="1"/>
    <col min="11" max="11" width="15.57421875" style="0" bestFit="1" customWidth="1"/>
    <col min="12" max="12" width="14.140625" style="0" bestFit="1" customWidth="1"/>
    <col min="13" max="13" width="16.57421875" style="2" bestFit="1" customWidth="1"/>
    <col min="14" max="14" width="14.140625" style="0" bestFit="1" customWidth="1"/>
    <col min="15" max="15" width="35.7109375" style="0" customWidth="1"/>
    <col min="16" max="16" width="16.00390625" style="2" customWidth="1"/>
    <col min="17" max="17" width="15.57421875" style="0" bestFit="1" customWidth="1"/>
    <col min="18" max="18" width="21.140625" style="0" bestFit="1" customWidth="1"/>
    <col min="19" max="19" width="15.57421875" style="0" bestFit="1" customWidth="1"/>
    <col min="20" max="23" width="14.140625" style="0" bestFit="1" customWidth="1"/>
  </cols>
  <sheetData>
    <row r="1" spans="1:16" ht="15.75" thickBot="1">
      <c r="A1" t="s">
        <v>0</v>
      </c>
      <c r="B1" s="1" t="s">
        <v>1</v>
      </c>
      <c r="M1" s="2" t="s">
        <v>2</v>
      </c>
      <c r="O1" t="s">
        <v>3</v>
      </c>
      <c r="P1" s="2">
        <v>120</v>
      </c>
    </row>
    <row r="2" spans="2:16" ht="15.75" thickBot="1">
      <c r="B2" s="3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5"/>
      <c r="O2" s="6" t="s">
        <v>4</v>
      </c>
      <c r="P2" s="2">
        <v>2.2</v>
      </c>
    </row>
    <row r="3" spans="1:16" ht="15">
      <c r="A3" s="7"/>
      <c r="B3" s="8"/>
      <c r="C3" s="8"/>
      <c r="D3" s="8"/>
      <c r="E3" s="9" t="s">
        <v>5</v>
      </c>
      <c r="F3" s="8"/>
      <c r="G3" s="8"/>
      <c r="H3" s="8"/>
      <c r="I3" s="8"/>
      <c r="J3" s="8"/>
      <c r="K3" s="8"/>
      <c r="L3" s="8"/>
      <c r="M3" s="10"/>
      <c r="O3" s="6" t="s">
        <v>6</v>
      </c>
      <c r="P3" s="2">
        <f>20/100</f>
        <v>0.2</v>
      </c>
    </row>
    <row r="4" spans="1:16" ht="15">
      <c r="A4" s="11" t="s">
        <v>7</v>
      </c>
      <c r="B4" s="12">
        <f>B6+B7</f>
        <v>3457680.1199999996</v>
      </c>
      <c r="C4" s="12">
        <f>C6+C7</f>
        <v>80918.11450800001</v>
      </c>
      <c r="D4" s="12">
        <f aca="true" t="shared" si="0" ref="D4:K4">D6+D7</f>
        <v>72400.418244</v>
      </c>
      <c r="E4" s="12">
        <f>E6+E7</f>
        <v>63882.72197999998</v>
      </c>
      <c r="F4" s="12">
        <f t="shared" si="0"/>
        <v>55365.02571599994</v>
      </c>
      <c r="G4" s="12">
        <f>G6+G7</f>
        <v>46847.329451999896</v>
      </c>
      <c r="H4" s="12">
        <f t="shared" si="0"/>
        <v>38329.63318799986</v>
      </c>
      <c r="I4" s="12">
        <f t="shared" si="0"/>
        <v>29811.936923999823</v>
      </c>
      <c r="J4" s="12">
        <f>J6+J7</f>
        <v>21294.240659999778</v>
      </c>
      <c r="K4" s="12">
        <f t="shared" si="0"/>
        <v>12776.544395999736</v>
      </c>
      <c r="L4" s="12">
        <f>L6+L7</f>
        <v>4258.848131999694</v>
      </c>
      <c r="M4" s="13">
        <f>SUM(B4:L4)</f>
        <v>3883564.9331999985</v>
      </c>
      <c r="O4" t="s">
        <v>8</v>
      </c>
      <c r="P4" s="2">
        <f>12/100</f>
        <v>0.12</v>
      </c>
    </row>
    <row r="5" spans="1:16" ht="15">
      <c r="A5" s="11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O5" t="s">
        <v>10</v>
      </c>
      <c r="P5" s="2">
        <v>0.0825</v>
      </c>
    </row>
    <row r="6" spans="1:16" ht="15">
      <c r="A6" s="14" t="s">
        <v>11</v>
      </c>
      <c r="B6" s="12">
        <f>'[1]Лист2'!F14</f>
        <v>3457680.1199999996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>
        <f>SUM(B6:L6)</f>
        <v>3457680.1199999996</v>
      </c>
      <c r="O6" t="s">
        <v>12</v>
      </c>
      <c r="P6" s="2">
        <v>5</v>
      </c>
    </row>
    <row r="7" spans="1:16" ht="15">
      <c r="A7" s="14" t="s">
        <v>13</v>
      </c>
      <c r="B7" s="12"/>
      <c r="C7" s="15">
        <f>E53</f>
        <v>80918.11450800001</v>
      </c>
      <c r="D7" s="15">
        <f>G53</f>
        <v>72400.418244</v>
      </c>
      <c r="E7" s="16">
        <f>I53</f>
        <v>63882.72197999998</v>
      </c>
      <c r="F7" s="16">
        <f>K53</f>
        <v>55365.02571599994</v>
      </c>
      <c r="G7" s="15">
        <f>M53</f>
        <v>46847.329451999896</v>
      </c>
      <c r="H7" s="15">
        <f>O53</f>
        <v>38329.63318799986</v>
      </c>
      <c r="I7" s="15">
        <f>Q53</f>
        <v>29811.936923999823</v>
      </c>
      <c r="J7" s="15">
        <f>S53</f>
        <v>21294.240659999778</v>
      </c>
      <c r="K7" s="15">
        <f>U53</f>
        <v>12776.544395999736</v>
      </c>
      <c r="L7" s="15">
        <f>W53</f>
        <v>4258.848131999694</v>
      </c>
      <c r="M7" s="13">
        <f>SUM(C7:L7)</f>
        <v>425884.8131999988</v>
      </c>
      <c r="O7" t="s">
        <v>14</v>
      </c>
      <c r="P7" s="2">
        <v>0.16</v>
      </c>
    </row>
    <row r="8" spans="1:13" ht="15">
      <c r="A8" s="14" t="s">
        <v>15</v>
      </c>
      <c r="B8" s="12"/>
      <c r="C8" s="12">
        <f>($B$6+$C$12+$P$15)*(1/$P$1)*12</f>
        <v>387168.012</v>
      </c>
      <c r="D8" s="12">
        <f aca="true" t="shared" si="1" ref="D8:L8">($B$6+$C$12+$P$15)*(1/$P$1)*12</f>
        <v>387168.012</v>
      </c>
      <c r="E8" s="12">
        <f t="shared" si="1"/>
        <v>387168.012</v>
      </c>
      <c r="F8" s="12">
        <f t="shared" si="1"/>
        <v>387168.012</v>
      </c>
      <c r="G8" s="12">
        <f t="shared" si="1"/>
        <v>387168.012</v>
      </c>
      <c r="H8" s="12">
        <f t="shared" si="1"/>
        <v>387168.012</v>
      </c>
      <c r="I8" s="12">
        <f t="shared" si="1"/>
        <v>387168.012</v>
      </c>
      <c r="J8" s="12">
        <f t="shared" si="1"/>
        <v>387168.012</v>
      </c>
      <c r="K8" s="12">
        <f t="shared" si="1"/>
        <v>387168.012</v>
      </c>
      <c r="L8" s="12">
        <f t="shared" si="1"/>
        <v>387168.012</v>
      </c>
      <c r="M8" s="13">
        <f>SUM(C8:L8)</f>
        <v>3871680.1200000006</v>
      </c>
    </row>
    <row r="9" spans="1:13" ht="15">
      <c r="A9" s="14" t="s">
        <v>16</v>
      </c>
      <c r="B9" s="12"/>
      <c r="C9" s="12">
        <f>($B$6+$C$12+$P$10)*(1/$Q$11)*12</f>
        <v>206707.2048</v>
      </c>
      <c r="D9" s="12">
        <f aca="true" t="shared" si="2" ref="D9:L9">($B$6+$C$12+$P$10)*(1/$Q$11)*12</f>
        <v>206707.2048</v>
      </c>
      <c r="E9" s="12">
        <f t="shared" si="2"/>
        <v>206707.2048</v>
      </c>
      <c r="F9" s="12">
        <f t="shared" si="2"/>
        <v>206707.2048</v>
      </c>
      <c r="G9" s="12">
        <f t="shared" si="2"/>
        <v>206707.2048</v>
      </c>
      <c r="H9" s="12">
        <f t="shared" si="2"/>
        <v>206707.2048</v>
      </c>
      <c r="I9" s="12">
        <f t="shared" si="2"/>
        <v>206707.2048</v>
      </c>
      <c r="J9" s="12">
        <f t="shared" si="2"/>
        <v>206707.2048</v>
      </c>
      <c r="K9" s="12">
        <f t="shared" si="2"/>
        <v>206707.2048</v>
      </c>
      <c r="L9" s="12">
        <f t="shared" si="2"/>
        <v>206707.2048</v>
      </c>
      <c r="M9" s="13">
        <f>SUM(C9:L9)</f>
        <v>2067072.0479999997</v>
      </c>
    </row>
    <row r="10" spans="1:16" ht="15">
      <c r="A10" s="14" t="s">
        <v>17</v>
      </c>
      <c r="B10" s="12"/>
      <c r="C10" s="15">
        <f>SUM(C12:C13)</f>
        <v>-507525.0638616</v>
      </c>
      <c r="D10" s="15">
        <f aca="true" t="shared" si="3" ref="D10:L10">SUM(D12:D13)</f>
        <v>-55821.524608800006</v>
      </c>
      <c r="E10" s="15">
        <f t="shared" si="3"/>
        <v>-54117.985356</v>
      </c>
      <c r="F10" s="15">
        <f t="shared" si="3"/>
        <v>-52414.446103199996</v>
      </c>
      <c r="G10" s="15">
        <f t="shared" si="3"/>
        <v>-50710.90685039998</v>
      </c>
      <c r="H10" s="15">
        <f t="shared" si="3"/>
        <v>-49007.36759759998</v>
      </c>
      <c r="I10" s="15">
        <f t="shared" si="3"/>
        <v>-47303.82834479997</v>
      </c>
      <c r="J10" s="15">
        <f t="shared" si="3"/>
        <v>-45600.28909199996</v>
      </c>
      <c r="K10" s="15">
        <f t="shared" si="3"/>
        <v>-43896.749839199954</v>
      </c>
      <c r="L10" s="15">
        <f t="shared" si="3"/>
        <v>-42193.210586399946</v>
      </c>
      <c r="M10" s="13">
        <f>SUM(B10:L10)</f>
        <v>-948591.3722399997</v>
      </c>
      <c r="O10" t="s">
        <v>18</v>
      </c>
      <c r="P10" s="2">
        <v>2160000</v>
      </c>
    </row>
    <row r="11" spans="1:17" ht="15">
      <c r="A11" s="14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O11" t="s">
        <v>3</v>
      </c>
      <c r="P11" s="17">
        <v>25</v>
      </c>
      <c r="Q11" s="18">
        <f>P11*12</f>
        <v>300</v>
      </c>
    </row>
    <row r="12" spans="1:17" ht="15">
      <c r="A12" s="14" t="s">
        <v>19</v>
      </c>
      <c r="B12" s="12"/>
      <c r="C12" s="12">
        <f>-'[1]Лист2'!F13</f>
        <v>-450000</v>
      </c>
      <c r="D12" s="12"/>
      <c r="E12" s="12"/>
      <c r="F12" s="12"/>
      <c r="G12" s="12"/>
      <c r="H12" s="12"/>
      <c r="I12" s="12"/>
      <c r="J12" s="12"/>
      <c r="K12" s="12"/>
      <c r="L12" s="12"/>
      <c r="M12" s="13">
        <f>SUM(C12:L12)</f>
        <v>-450000</v>
      </c>
      <c r="O12" t="s">
        <v>20</v>
      </c>
      <c r="P12" s="2">
        <f>P10/Q11</f>
        <v>7200</v>
      </c>
      <c r="Q12" s="18"/>
    </row>
    <row r="13" spans="1:17" ht="15">
      <c r="A13" s="14" t="s">
        <v>21</v>
      </c>
      <c r="B13" s="12"/>
      <c r="C13" s="12">
        <f>-(C9+C7)*$P$3</f>
        <v>-57525.06386160001</v>
      </c>
      <c r="D13" s="12">
        <f aca="true" t="shared" si="4" ref="D13:L13">-(D9+D7)*$P$3</f>
        <v>-55821.524608800006</v>
      </c>
      <c r="E13" s="12">
        <f t="shared" si="4"/>
        <v>-54117.985356</v>
      </c>
      <c r="F13" s="12">
        <f t="shared" si="4"/>
        <v>-52414.446103199996</v>
      </c>
      <c r="G13" s="12">
        <f t="shared" si="4"/>
        <v>-50710.90685039998</v>
      </c>
      <c r="H13" s="12">
        <f t="shared" si="4"/>
        <v>-49007.36759759998</v>
      </c>
      <c r="I13" s="12">
        <f>-(I9+I7)*$P$3</f>
        <v>-47303.82834479997</v>
      </c>
      <c r="J13" s="12">
        <f t="shared" si="4"/>
        <v>-45600.28909199996</v>
      </c>
      <c r="K13" s="12">
        <f t="shared" si="4"/>
        <v>-43896.749839199954</v>
      </c>
      <c r="L13" s="12">
        <f t="shared" si="4"/>
        <v>-42193.210586399946</v>
      </c>
      <c r="M13" s="13">
        <f>SUM(C13:L13)</f>
        <v>-498591.37223999976</v>
      </c>
      <c r="O13" t="s">
        <v>22</v>
      </c>
      <c r="P13" s="17">
        <f>10</f>
        <v>10</v>
      </c>
      <c r="Q13" s="18">
        <f>P13*12</f>
        <v>120</v>
      </c>
    </row>
    <row r="14" spans="1:16" ht="15">
      <c r="A14" s="14" t="s">
        <v>23</v>
      </c>
      <c r="B14" s="12">
        <f>B6+B7+B10</f>
        <v>3457680.1199999996</v>
      </c>
      <c r="C14" s="12">
        <f>C6+C7+C10</f>
        <v>-426606.9493536</v>
      </c>
      <c r="D14" s="12">
        <f aca="true" t="shared" si="5" ref="D14:L14">D6+D7+D10</f>
        <v>16578.893635199995</v>
      </c>
      <c r="E14" s="12">
        <f t="shared" si="5"/>
        <v>9764.736623999983</v>
      </c>
      <c r="F14" s="12">
        <f t="shared" si="5"/>
        <v>2950.579612799942</v>
      </c>
      <c r="G14" s="12">
        <f t="shared" si="5"/>
        <v>-3863.5773984000843</v>
      </c>
      <c r="H14" s="12">
        <f t="shared" si="5"/>
        <v>-10677.734409600118</v>
      </c>
      <c r="I14" s="12">
        <f t="shared" si="5"/>
        <v>-17491.891420800148</v>
      </c>
      <c r="J14" s="12">
        <f t="shared" si="5"/>
        <v>-24306.048432000185</v>
      </c>
      <c r="K14" s="12">
        <f t="shared" si="5"/>
        <v>-31120.20544320022</v>
      </c>
      <c r="L14" s="12">
        <f t="shared" si="5"/>
        <v>-37934.36245440025</v>
      </c>
      <c r="M14" s="13">
        <f>SUM(B14:L14)</f>
        <v>2934973.5609599985</v>
      </c>
      <c r="O14" t="s">
        <v>24</v>
      </c>
      <c r="P14" s="2">
        <f>P12*(Q11-Q13)</f>
        <v>1296000</v>
      </c>
    </row>
    <row r="15" spans="1:16" ht="15.75" thickBot="1">
      <c r="A15" s="19" t="s">
        <v>25</v>
      </c>
      <c r="B15" s="20">
        <f>B14/((1+$P$4)^B2)</f>
        <v>3457680.1199999996</v>
      </c>
      <c r="C15" s="20">
        <f>C14/((1+$P$4)^C2)</f>
        <v>-380899.0619228571</v>
      </c>
      <c r="D15" s="20">
        <f aca="true" t="shared" si="6" ref="D15:L15">D14/((1+$P$4)^D2)</f>
        <v>13216.592502551015</v>
      </c>
      <c r="E15" s="20">
        <f t="shared" si="6"/>
        <v>6950.346654063397</v>
      </c>
      <c r="F15" s="20">
        <f t="shared" si="6"/>
        <v>1875.14668570709</v>
      </c>
      <c r="G15" s="20">
        <f t="shared" si="6"/>
        <v>-2192.297574999606</v>
      </c>
      <c r="H15" s="20">
        <f t="shared" si="6"/>
        <v>-5409.672555569364</v>
      </c>
      <c r="I15" s="20">
        <f t="shared" si="6"/>
        <v>-7912.443358957085</v>
      </c>
      <c r="J15" s="20">
        <f t="shared" si="6"/>
        <v>-9816.805300139118</v>
      </c>
      <c r="K15" s="20">
        <f t="shared" si="6"/>
        <v>-11222.25806230432</v>
      </c>
      <c r="L15" s="20">
        <f t="shared" si="6"/>
        <v>-12213.849457447828</v>
      </c>
      <c r="M15" s="21">
        <f>SUM(B15:L15)</f>
        <v>3050055.8176100464</v>
      </c>
      <c r="O15" t="s">
        <v>26</v>
      </c>
      <c r="P15" s="2">
        <f>P10-P14</f>
        <v>864000</v>
      </c>
    </row>
    <row r="16" spans="1:13" ht="15">
      <c r="A16" s="22"/>
      <c r="B16" s="23"/>
      <c r="C16" s="23"/>
      <c r="D16" s="23"/>
      <c r="E16" s="24" t="s">
        <v>27</v>
      </c>
      <c r="F16" s="23"/>
      <c r="G16" s="23"/>
      <c r="H16" s="23"/>
      <c r="I16" s="23"/>
      <c r="J16" s="23"/>
      <c r="K16" s="23"/>
      <c r="L16" s="23"/>
      <c r="M16" s="25"/>
    </row>
    <row r="17" spans="1:16" ht="15">
      <c r="A17" s="11" t="s">
        <v>7</v>
      </c>
      <c r="B17" s="12">
        <f>B19+B20+B21</f>
        <v>0</v>
      </c>
      <c r="C17" s="12">
        <f>C19+C20+C21</f>
        <v>1274970.315948</v>
      </c>
      <c r="D17" s="12">
        <f aca="true" t="shared" si="7" ref="D17:L17">D19+D20+D21</f>
        <v>1155806.855844</v>
      </c>
      <c r="E17" s="12">
        <f t="shared" si="7"/>
        <v>1036643.3957399998</v>
      </c>
      <c r="F17" s="12">
        <f t="shared" si="7"/>
        <v>917479.9356359997</v>
      </c>
      <c r="G17" s="12">
        <f t="shared" si="7"/>
        <v>798316.475532</v>
      </c>
      <c r="H17" s="12">
        <f t="shared" si="7"/>
        <v>38329.63318799986</v>
      </c>
      <c r="I17" s="12">
        <f t="shared" si="7"/>
        <v>29811.936923999823</v>
      </c>
      <c r="J17" s="12">
        <f t="shared" si="7"/>
        <v>21294.240659999778</v>
      </c>
      <c r="K17" s="12">
        <f t="shared" si="7"/>
        <v>12776.544395999736</v>
      </c>
      <c r="L17" s="12">
        <f t="shared" si="7"/>
        <v>4258.848131999694</v>
      </c>
      <c r="M17" s="13">
        <f>SUM(C17:L17)</f>
        <v>5289688.181999998</v>
      </c>
      <c r="O17" t="s">
        <v>28</v>
      </c>
      <c r="P17" s="2">
        <f>P15+B6+C12</f>
        <v>3871680.119999999</v>
      </c>
    </row>
    <row r="18" spans="1:13" ht="15">
      <c r="A18" s="11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ht="15">
      <c r="A19" s="14" t="s">
        <v>29</v>
      </c>
      <c r="B19" s="12"/>
      <c r="C19" s="12">
        <f>$B$6/$P$6</f>
        <v>691536.024</v>
      </c>
      <c r="D19" s="12">
        <f>$B$6/$P$6</f>
        <v>691536.024</v>
      </c>
      <c r="E19" s="12">
        <f>$B$6/$P$6</f>
        <v>691536.024</v>
      </c>
      <c r="F19" s="12">
        <f>$B$6/$P$6</f>
        <v>691536.024</v>
      </c>
      <c r="G19" s="12">
        <f>$B$6/$P$6</f>
        <v>691536.024</v>
      </c>
      <c r="H19" s="12"/>
      <c r="I19" s="12"/>
      <c r="J19" s="12"/>
      <c r="K19" s="12"/>
      <c r="L19" s="12"/>
      <c r="M19" s="13">
        <f>SUM(B19:L19)</f>
        <v>3457680.12</v>
      </c>
    </row>
    <row r="20" spans="1:18" ht="15">
      <c r="A20" s="26" t="s">
        <v>30</v>
      </c>
      <c r="B20" s="12"/>
      <c r="C20" s="12">
        <f>SUM('[1]До пяти лет'!D10:D21)</f>
        <v>502516.1774399999</v>
      </c>
      <c r="D20" s="12">
        <f>SUM('[1]До пяти лет'!D22:D33)</f>
        <v>391870.41359999997</v>
      </c>
      <c r="E20" s="12">
        <f>SUM('[1]До пяти лет'!D34:D45)</f>
        <v>281224.6497599998</v>
      </c>
      <c r="F20" s="12">
        <f>SUM('[1]До пяти лет'!D46:D57)</f>
        <v>170578.88591999986</v>
      </c>
      <c r="G20" s="12">
        <f>SUM('[1]До пяти лет'!D58:D69)</f>
        <v>59933.12208000009</v>
      </c>
      <c r="H20" s="12"/>
      <c r="I20" s="12"/>
      <c r="J20" s="12"/>
      <c r="K20" s="12"/>
      <c r="L20" s="12"/>
      <c r="M20" s="13">
        <f aca="true" t="shared" si="8" ref="M20:M29">SUM(B20:L20)</f>
        <v>1406123.2487999997</v>
      </c>
      <c r="R20" s="18"/>
    </row>
    <row r="21" spans="1:18" ht="15">
      <c r="A21" s="14" t="s">
        <v>13</v>
      </c>
      <c r="B21" s="12"/>
      <c r="C21" s="12">
        <f>C7</f>
        <v>80918.11450800001</v>
      </c>
      <c r="D21" s="12">
        <f aca="true" t="shared" si="9" ref="D21:L23">D7</f>
        <v>72400.418244</v>
      </c>
      <c r="E21" s="12">
        <f t="shared" si="9"/>
        <v>63882.72197999998</v>
      </c>
      <c r="F21" s="12">
        <f t="shared" si="9"/>
        <v>55365.02571599994</v>
      </c>
      <c r="G21" s="12">
        <f t="shared" si="9"/>
        <v>46847.329451999896</v>
      </c>
      <c r="H21" s="12">
        <f t="shared" si="9"/>
        <v>38329.63318799986</v>
      </c>
      <c r="I21" s="12">
        <f t="shared" si="9"/>
        <v>29811.936923999823</v>
      </c>
      <c r="J21" s="12">
        <f t="shared" si="9"/>
        <v>21294.240659999778</v>
      </c>
      <c r="K21" s="12">
        <f t="shared" si="9"/>
        <v>12776.544395999736</v>
      </c>
      <c r="L21" s="12">
        <f t="shared" si="9"/>
        <v>4258.848131999694</v>
      </c>
      <c r="M21" s="13">
        <f t="shared" si="8"/>
        <v>425884.8131999988</v>
      </c>
      <c r="R21" s="18"/>
    </row>
    <row r="22" spans="1:18" ht="15">
      <c r="A22" s="14" t="s">
        <v>15</v>
      </c>
      <c r="B22" s="12"/>
      <c r="C22" s="12">
        <f>C8</f>
        <v>387168.012</v>
      </c>
      <c r="D22" s="12">
        <f t="shared" si="9"/>
        <v>387168.012</v>
      </c>
      <c r="E22" s="12">
        <f t="shared" si="9"/>
        <v>387168.012</v>
      </c>
      <c r="F22" s="12">
        <f t="shared" si="9"/>
        <v>387168.012</v>
      </c>
      <c r="G22" s="12">
        <f t="shared" si="9"/>
        <v>387168.012</v>
      </c>
      <c r="H22" s="12">
        <f t="shared" si="9"/>
        <v>387168.012</v>
      </c>
      <c r="I22" s="12">
        <f t="shared" si="9"/>
        <v>387168.012</v>
      </c>
      <c r="J22" s="12">
        <f t="shared" si="9"/>
        <v>387168.012</v>
      </c>
      <c r="K22" s="12">
        <f t="shared" si="9"/>
        <v>387168.012</v>
      </c>
      <c r="L22" s="12">
        <f t="shared" si="9"/>
        <v>387168.012</v>
      </c>
      <c r="M22" s="13">
        <f t="shared" si="8"/>
        <v>3871680.1200000006</v>
      </c>
      <c r="R22" s="18"/>
    </row>
    <row r="23" spans="1:18" ht="15">
      <c r="A23" s="14" t="s">
        <v>31</v>
      </c>
      <c r="B23" s="12"/>
      <c r="C23" s="12">
        <f>C9</f>
        <v>206707.2048</v>
      </c>
      <c r="D23" s="12">
        <f t="shared" si="9"/>
        <v>206707.2048</v>
      </c>
      <c r="E23" s="12">
        <f t="shared" si="9"/>
        <v>206707.2048</v>
      </c>
      <c r="F23" s="12">
        <f t="shared" si="9"/>
        <v>206707.2048</v>
      </c>
      <c r="G23" s="12">
        <f t="shared" si="9"/>
        <v>206707.2048</v>
      </c>
      <c r="H23" s="12">
        <f t="shared" si="9"/>
        <v>206707.2048</v>
      </c>
      <c r="I23" s="12">
        <f t="shared" si="9"/>
        <v>206707.2048</v>
      </c>
      <c r="J23" s="12">
        <f t="shared" si="9"/>
        <v>206707.2048</v>
      </c>
      <c r="K23" s="12">
        <f t="shared" si="9"/>
        <v>206707.2048</v>
      </c>
      <c r="L23" s="12">
        <f t="shared" si="9"/>
        <v>206707.2048</v>
      </c>
      <c r="M23" s="13">
        <f t="shared" si="8"/>
        <v>2067072.0479999997</v>
      </c>
      <c r="R23" s="18"/>
    </row>
    <row r="24" spans="1:18" ht="15">
      <c r="A24" s="14" t="s">
        <v>17</v>
      </c>
      <c r="B24" s="12"/>
      <c r="C24" s="12">
        <f>C26+C27</f>
        <v>-483317.5638725472</v>
      </c>
      <c r="D24" s="12">
        <f aca="true" t="shared" si="10" ref="D24:L24">D26+D27</f>
        <v>-11323.804446768016</v>
      </c>
      <c r="E24" s="12">
        <f t="shared" si="10"/>
        <v>10669.954979011236</v>
      </c>
      <c r="F24" s="12">
        <f t="shared" si="10"/>
        <v>32663.71440479043</v>
      </c>
      <c r="G24" s="12">
        <f t="shared" si="10"/>
        <v>54657.4738305696</v>
      </c>
      <c r="H24" s="12">
        <f t="shared" si="10"/>
        <v>-98617.0967496</v>
      </c>
      <c r="I24" s="12">
        <f t="shared" si="10"/>
        <v>-96913.55749679997</v>
      </c>
      <c r="J24" s="12">
        <f t="shared" si="10"/>
        <v>-95210.01824399998</v>
      </c>
      <c r="K24" s="12">
        <f t="shared" si="10"/>
        <v>-93506.47899119995</v>
      </c>
      <c r="L24" s="12">
        <f t="shared" si="10"/>
        <v>-91802.93973839996</v>
      </c>
      <c r="M24" s="13">
        <f t="shared" si="8"/>
        <v>-872700.3163249438</v>
      </c>
      <c r="R24" s="18"/>
    </row>
    <row r="25" spans="1:17" ht="15">
      <c r="A25" s="1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>
        <f t="shared" si="8"/>
        <v>0</v>
      </c>
      <c r="Q25" s="27"/>
    </row>
    <row r="26" spans="1:13" ht="15">
      <c r="A26" s="14" t="s">
        <v>19</v>
      </c>
      <c r="B26" s="12"/>
      <c r="C26" s="12">
        <f>C12</f>
        <v>-450000</v>
      </c>
      <c r="D26" s="12"/>
      <c r="E26" s="12"/>
      <c r="F26" s="12"/>
      <c r="G26" s="12"/>
      <c r="H26" s="12"/>
      <c r="I26" s="12"/>
      <c r="J26" s="12"/>
      <c r="K26" s="12"/>
      <c r="L26" s="12"/>
      <c r="M26" s="13">
        <f t="shared" si="8"/>
        <v>-450000</v>
      </c>
    </row>
    <row r="27" spans="1:17" ht="15">
      <c r="A27" s="14" t="s">
        <v>32</v>
      </c>
      <c r="B27" s="12"/>
      <c r="C27" s="28">
        <f>-((C9+C20+C7)*$P$3-(C20*($P$7-1.1*$P$5)*$P$3*(1+$P$3))-((C19-C23)*$P$3*(1+$P$3)))</f>
        <v>-33317.56387254718</v>
      </c>
      <c r="D27" s="28">
        <f aca="true" t="shared" si="11" ref="D27:L27">-((D9+D20+D7)*$P$3-(D20*($P$7-1.1*$P$5)*$P$3*(1+$P$3))-((D19-D23)*$P$3*(1+$P$3)))</f>
        <v>-11323.804446768016</v>
      </c>
      <c r="E27" s="28">
        <f t="shared" si="11"/>
        <v>10669.954979011236</v>
      </c>
      <c r="F27" s="28">
        <f t="shared" si="11"/>
        <v>32663.71440479043</v>
      </c>
      <c r="G27" s="28">
        <f t="shared" si="11"/>
        <v>54657.4738305696</v>
      </c>
      <c r="H27" s="28">
        <f t="shared" si="11"/>
        <v>-98617.0967496</v>
      </c>
      <c r="I27" s="28">
        <f t="shared" si="11"/>
        <v>-96913.55749679997</v>
      </c>
      <c r="J27" s="28">
        <f t="shared" si="11"/>
        <v>-95210.01824399998</v>
      </c>
      <c r="K27" s="28">
        <f t="shared" si="11"/>
        <v>-93506.47899119995</v>
      </c>
      <c r="L27" s="28">
        <f t="shared" si="11"/>
        <v>-91802.93973839996</v>
      </c>
      <c r="M27" s="13">
        <f t="shared" si="8"/>
        <v>-422700.3163249438</v>
      </c>
      <c r="Q27" s="2"/>
    </row>
    <row r="28" spans="1:17" ht="15">
      <c r="A28" s="14" t="s">
        <v>33</v>
      </c>
      <c r="B28" s="12">
        <f>B19+B20+B21+B24</f>
        <v>0</v>
      </c>
      <c r="C28" s="12">
        <f>C19+C20+C21+C24</f>
        <v>791652.7520754528</v>
      </c>
      <c r="D28" s="12">
        <f aca="true" t="shared" si="12" ref="D28:L28">D19+D20+D21+D24</f>
        <v>1144483.0513972319</v>
      </c>
      <c r="E28" s="12">
        <f t="shared" si="12"/>
        <v>1047313.350719011</v>
      </c>
      <c r="F28" s="12">
        <f t="shared" si="12"/>
        <v>950143.6500407901</v>
      </c>
      <c r="G28" s="12">
        <f t="shared" si="12"/>
        <v>852973.9493625696</v>
      </c>
      <c r="H28" s="12">
        <f t="shared" si="12"/>
        <v>-60287.46356160013</v>
      </c>
      <c r="I28" s="12">
        <f t="shared" si="12"/>
        <v>-67101.62057280015</v>
      </c>
      <c r="J28" s="12">
        <f t="shared" si="12"/>
        <v>-73915.7775840002</v>
      </c>
      <c r="K28" s="12">
        <f t="shared" si="12"/>
        <v>-80729.93459520022</v>
      </c>
      <c r="L28" s="12">
        <f t="shared" si="12"/>
        <v>-87544.09160640027</v>
      </c>
      <c r="M28" s="13">
        <f t="shared" si="8"/>
        <v>4416987.8656750545</v>
      </c>
      <c r="Q28" s="29"/>
    </row>
    <row r="29" spans="1:13" ht="15.75" thickBot="1">
      <c r="A29" s="19" t="s">
        <v>34</v>
      </c>
      <c r="B29" s="20">
        <f>B28/((1+$P$4)^B2)</f>
        <v>0</v>
      </c>
      <c r="C29" s="20">
        <f>C28/((1+$P$4)^C2)</f>
        <v>706832.8143530828</v>
      </c>
      <c r="D29" s="20">
        <f aca="true" t="shared" si="13" ref="D29:L29">D28/((1+$P$4)^D2)</f>
        <v>912374.8815347829</v>
      </c>
      <c r="E29" s="20">
        <f t="shared" si="13"/>
        <v>745456.9563130714</v>
      </c>
      <c r="F29" s="20">
        <f t="shared" si="13"/>
        <v>603833.4666824753</v>
      </c>
      <c r="G29" s="20">
        <f t="shared" si="13"/>
        <v>484000.32609667856</v>
      </c>
      <c r="H29" s="20">
        <f t="shared" si="13"/>
        <v>-30543.50525715034</v>
      </c>
      <c r="I29" s="20">
        <f t="shared" si="13"/>
        <v>-30353.365413940093</v>
      </c>
      <c r="J29" s="20">
        <f t="shared" si="13"/>
        <v>-29853.342849231096</v>
      </c>
      <c r="K29" s="20">
        <f t="shared" si="13"/>
        <v>-29112.023731136436</v>
      </c>
      <c r="L29" s="20">
        <f t="shared" si="13"/>
        <v>-28186.85451890508</v>
      </c>
      <c r="M29" s="21">
        <f t="shared" si="8"/>
        <v>3304449.353209728</v>
      </c>
    </row>
    <row r="30" spans="1:8" ht="15">
      <c r="A30" s="30"/>
      <c r="B30" s="2"/>
      <c r="C30" s="2">
        <f>(C20+C7+C23-(C20*(P7-1.1*P5)+C19-C23)*(1+P3))*P3</f>
        <v>33317.563872547194</v>
      </c>
      <c r="D30" s="2"/>
      <c r="E30" s="2"/>
      <c r="F30" s="2"/>
      <c r="G30" s="2"/>
      <c r="H30" s="2"/>
    </row>
    <row r="31" ht="15">
      <c r="C31" s="18"/>
    </row>
    <row r="32" spans="2:5" ht="15">
      <c r="B32" s="2" t="s">
        <v>35</v>
      </c>
      <c r="C32">
        <f>M29/M15</f>
        <v>1.083406190185404</v>
      </c>
      <c r="D32" s="27"/>
      <c r="E32" s="2"/>
    </row>
    <row r="33" spans="2:5" ht="15">
      <c r="B33" s="2"/>
      <c r="C33" s="31">
        <f>(C32-1)*100</f>
        <v>8.340619018540396</v>
      </c>
      <c r="D33" s="2"/>
      <c r="E33" s="2"/>
    </row>
    <row r="35" ht="15">
      <c r="A35" s="27"/>
    </row>
    <row r="36" spans="2:23" ht="15">
      <c r="B36" s="32"/>
      <c r="C36" s="33"/>
      <c r="D36" s="33">
        <f>C8/12</f>
        <v>32264.001</v>
      </c>
      <c r="E36" s="32"/>
      <c r="F36" s="32"/>
      <c r="G36" s="32">
        <f>0.022</f>
        <v>0.022</v>
      </c>
      <c r="H36" s="32"/>
      <c r="I36" s="32"/>
      <c r="J36" s="32"/>
      <c r="K36" s="32"/>
      <c r="L36" s="32"/>
      <c r="M36" s="34"/>
      <c r="N36" s="32"/>
      <c r="O36" s="32"/>
      <c r="P36" s="34"/>
      <c r="Q36" s="32"/>
      <c r="R36" s="32"/>
      <c r="S36" s="32"/>
      <c r="T36" s="32"/>
      <c r="U36" s="32"/>
      <c r="V36" s="32"/>
      <c r="W36" s="32"/>
    </row>
    <row r="37" spans="1:23" ht="15">
      <c r="A37" s="27"/>
      <c r="B37" s="32"/>
      <c r="C37" s="32"/>
      <c r="D37" s="32"/>
      <c r="E37" s="32">
        <v>1</v>
      </c>
      <c r="F37" s="32"/>
      <c r="G37" s="32">
        <v>2</v>
      </c>
      <c r="H37" s="32"/>
      <c r="I37" s="32">
        <v>3</v>
      </c>
      <c r="J37" s="32"/>
      <c r="K37" s="32">
        <v>4</v>
      </c>
      <c r="L37" s="32"/>
      <c r="M37" s="34">
        <v>5</v>
      </c>
      <c r="N37" s="32"/>
      <c r="O37" s="32">
        <v>6</v>
      </c>
      <c r="P37" s="34"/>
      <c r="Q37" s="32">
        <v>7</v>
      </c>
      <c r="R37" s="32"/>
      <c r="S37" s="32">
        <v>8</v>
      </c>
      <c r="T37" s="32"/>
      <c r="U37" s="32">
        <v>9</v>
      </c>
      <c r="V37" s="32"/>
      <c r="W37" s="32"/>
    </row>
    <row r="38" spans="1:23" ht="15">
      <c r="A38" s="27"/>
      <c r="B38" s="32">
        <v>1</v>
      </c>
      <c r="C38" s="33">
        <f aca="true" t="shared" si="14" ref="C38:C50">$B$6+$C$12+$P$10</f>
        <v>5167680.119999999</v>
      </c>
      <c r="D38" s="33">
        <f>P14</f>
        <v>1296000</v>
      </c>
      <c r="E38" s="33">
        <f>C38-D38</f>
        <v>3871680.119999999</v>
      </c>
      <c r="F38" s="33">
        <f>D50</f>
        <v>1683168.0119999992</v>
      </c>
      <c r="G38" s="33">
        <f>C38-F38</f>
        <v>3484512.108</v>
      </c>
      <c r="H38" s="33">
        <f>F50</f>
        <v>2070336.0239999983</v>
      </c>
      <c r="I38" s="33">
        <f>C38-H38</f>
        <v>3097344.096000001</v>
      </c>
      <c r="J38" s="33">
        <f>H50</f>
        <v>2457504.0360000003</v>
      </c>
      <c r="K38" s="33">
        <f>C38-J38</f>
        <v>2710176.083999999</v>
      </c>
      <c r="L38" s="33">
        <f>J50</f>
        <v>2844672.0480000023</v>
      </c>
      <c r="M38" s="34">
        <f>C38-L38</f>
        <v>2323008.071999997</v>
      </c>
      <c r="N38" s="33">
        <f>L50</f>
        <v>3231840.0600000042</v>
      </c>
      <c r="O38" s="33">
        <f>C38-N38</f>
        <v>1935840.059999995</v>
      </c>
      <c r="P38" s="34">
        <f>N50</f>
        <v>3619008.072000006</v>
      </c>
      <c r="Q38" s="33">
        <f>C38-P38</f>
        <v>1548672.047999993</v>
      </c>
      <c r="R38" s="33">
        <f>P50</f>
        <v>4006176.084000008</v>
      </c>
      <c r="S38" s="33">
        <f>C38-R38</f>
        <v>1161504.035999991</v>
      </c>
      <c r="T38" s="33">
        <f>R50</f>
        <v>4393344.09600001</v>
      </c>
      <c r="U38" s="33">
        <f>C38-T38</f>
        <v>774336.023999989</v>
      </c>
      <c r="V38" s="33">
        <f>T50</f>
        <v>4780512.108000012</v>
      </c>
      <c r="W38" s="33">
        <f>C38-V38</f>
        <v>387168.01199998707</v>
      </c>
    </row>
    <row r="39" spans="1:23" ht="15">
      <c r="A39" s="27"/>
      <c r="B39" s="32">
        <v>2</v>
      </c>
      <c r="C39" s="33">
        <f t="shared" si="14"/>
        <v>5167680.119999999</v>
      </c>
      <c r="D39" s="33">
        <f aca="true" t="shared" si="15" ref="D39:D50">$D$36+D38</f>
        <v>1328264.001</v>
      </c>
      <c r="E39" s="33">
        <f aca="true" t="shared" si="16" ref="E39:E50">C39-D39</f>
        <v>3839416.118999999</v>
      </c>
      <c r="F39" s="33">
        <f aca="true" t="shared" si="17" ref="F39:F50">F38+$D$36</f>
        <v>1715432.012999999</v>
      </c>
      <c r="G39" s="33">
        <f aca="true" t="shared" si="18" ref="G39:G50">C39-F39</f>
        <v>3452248.107</v>
      </c>
      <c r="H39" s="33">
        <f aca="true" t="shared" si="19" ref="H39:H50">H38+$D$36</f>
        <v>2102600.0249999985</v>
      </c>
      <c r="I39" s="33">
        <f>C39-H39</f>
        <v>3065080.0950000007</v>
      </c>
      <c r="J39" s="33">
        <f aca="true" t="shared" si="20" ref="J39:J50">J38+$D$36</f>
        <v>2489768.0370000005</v>
      </c>
      <c r="K39" s="33">
        <f aca="true" t="shared" si="21" ref="K39:K50">C39-J39</f>
        <v>2677912.0829999987</v>
      </c>
      <c r="L39" s="33">
        <f aca="true" t="shared" si="22" ref="L39:L50">L38+$D$36</f>
        <v>2876936.0490000024</v>
      </c>
      <c r="M39" s="34">
        <f aca="true" t="shared" si="23" ref="M39:M50">C39-L39</f>
        <v>2290744.0709999967</v>
      </c>
      <c r="N39" s="33">
        <f aca="true" t="shared" si="24" ref="N39:N50">N38+$D$36</f>
        <v>3264104.0610000044</v>
      </c>
      <c r="O39" s="33">
        <f aca="true" t="shared" si="25" ref="O39:O50">C39-N39</f>
        <v>1903576.0589999948</v>
      </c>
      <c r="P39" s="34">
        <f aca="true" t="shared" si="26" ref="P39:P50">P38+$D$36</f>
        <v>3651272.0730000064</v>
      </c>
      <c r="Q39" s="33">
        <f aca="true" t="shared" si="27" ref="Q39:Q50">C39-P39</f>
        <v>1516408.0469999928</v>
      </c>
      <c r="R39" s="33">
        <f aca="true" t="shared" si="28" ref="R39:R50">R38+$D$36</f>
        <v>4038440.0850000083</v>
      </c>
      <c r="S39" s="33">
        <f aca="true" t="shared" si="29" ref="S39:S50">C39-R39</f>
        <v>1129240.0349999908</v>
      </c>
      <c r="T39" s="33">
        <f aca="true" t="shared" si="30" ref="T39:T50">T38+$D$36</f>
        <v>4425608.09700001</v>
      </c>
      <c r="U39" s="33">
        <f aca="true" t="shared" si="31" ref="U39:U50">C39-T39</f>
        <v>742072.0229999889</v>
      </c>
      <c r="V39" s="33">
        <f aca="true" t="shared" si="32" ref="V39:V50">V38+$D$36</f>
        <v>4812776.109000012</v>
      </c>
      <c r="W39" s="33">
        <f aca="true" t="shared" si="33" ref="W39:W50">C39-V39</f>
        <v>354904.0109999869</v>
      </c>
    </row>
    <row r="40" spans="1:23" ht="15">
      <c r="A40" s="27"/>
      <c r="B40" s="32">
        <v>3</v>
      </c>
      <c r="C40" s="33">
        <f t="shared" si="14"/>
        <v>5167680.119999999</v>
      </c>
      <c r="D40" s="33">
        <f t="shared" si="15"/>
        <v>1360528.0019999999</v>
      </c>
      <c r="E40" s="33">
        <f t="shared" si="16"/>
        <v>3807152.1179999993</v>
      </c>
      <c r="F40" s="33">
        <f t="shared" si="17"/>
        <v>1747696.013999999</v>
      </c>
      <c r="G40" s="33">
        <f>C40-F40</f>
        <v>3419984.106</v>
      </c>
      <c r="H40" s="33">
        <f t="shared" si="19"/>
        <v>2134864.0259999987</v>
      </c>
      <c r="I40" s="33">
        <f aca="true" t="shared" si="34" ref="I40:I50">C40-H40</f>
        <v>3032816.0940000005</v>
      </c>
      <c r="J40" s="33">
        <f t="shared" si="20"/>
        <v>2522032.0380000006</v>
      </c>
      <c r="K40" s="33">
        <f t="shared" si="21"/>
        <v>2645648.0819999985</v>
      </c>
      <c r="L40" s="33">
        <f t="shared" si="22"/>
        <v>2909200.0500000026</v>
      </c>
      <c r="M40" s="34">
        <f t="shared" si="23"/>
        <v>2258480.0699999966</v>
      </c>
      <c r="N40" s="33">
        <f t="shared" si="24"/>
        <v>3296368.0620000046</v>
      </c>
      <c r="O40" s="33">
        <f t="shared" si="25"/>
        <v>1871312.0579999946</v>
      </c>
      <c r="P40" s="34">
        <f t="shared" si="26"/>
        <v>3683536.0740000065</v>
      </c>
      <c r="Q40" s="33">
        <f t="shared" si="27"/>
        <v>1484144.0459999926</v>
      </c>
      <c r="R40" s="33">
        <f t="shared" si="28"/>
        <v>4070704.0860000085</v>
      </c>
      <c r="S40" s="33">
        <f t="shared" si="29"/>
        <v>1096976.0339999907</v>
      </c>
      <c r="T40" s="33">
        <f t="shared" si="30"/>
        <v>4457872.0980000105</v>
      </c>
      <c r="U40" s="33">
        <f t="shared" si="31"/>
        <v>709808.0219999887</v>
      </c>
      <c r="V40" s="33">
        <f t="shared" si="32"/>
        <v>4845040.110000012</v>
      </c>
      <c r="W40" s="33">
        <f t="shared" si="33"/>
        <v>322640.00999998674</v>
      </c>
    </row>
    <row r="41" spans="1:23" ht="15">
      <c r="A41" s="27"/>
      <c r="B41" s="32">
        <v>4</v>
      </c>
      <c r="C41" s="33">
        <f t="shared" si="14"/>
        <v>5167680.119999999</v>
      </c>
      <c r="D41" s="33">
        <f t="shared" si="15"/>
        <v>1392792.0029999998</v>
      </c>
      <c r="E41" s="33">
        <f t="shared" si="16"/>
        <v>3774888.1169999996</v>
      </c>
      <c r="F41" s="33">
        <f t="shared" si="17"/>
        <v>1779960.014999999</v>
      </c>
      <c r="G41" s="33">
        <f t="shared" si="18"/>
        <v>3387720.1050000004</v>
      </c>
      <c r="H41" s="33">
        <f t="shared" si="19"/>
        <v>2167128.026999999</v>
      </c>
      <c r="I41" s="33">
        <f t="shared" si="34"/>
        <v>3000552.0930000003</v>
      </c>
      <c r="J41" s="33">
        <f t="shared" si="20"/>
        <v>2554296.039000001</v>
      </c>
      <c r="K41" s="33">
        <f t="shared" si="21"/>
        <v>2613384.0809999984</v>
      </c>
      <c r="L41" s="33">
        <f t="shared" si="22"/>
        <v>2941464.051000003</v>
      </c>
      <c r="M41" s="34">
        <f t="shared" si="23"/>
        <v>2226216.0689999964</v>
      </c>
      <c r="N41" s="33">
        <f t="shared" si="24"/>
        <v>3328632.0630000047</v>
      </c>
      <c r="O41" s="33">
        <f t="shared" si="25"/>
        <v>1839048.0569999944</v>
      </c>
      <c r="P41" s="34">
        <f t="shared" si="26"/>
        <v>3715800.0750000067</v>
      </c>
      <c r="Q41" s="33">
        <f t="shared" si="27"/>
        <v>1451880.0449999925</v>
      </c>
      <c r="R41" s="33">
        <f t="shared" si="28"/>
        <v>4102968.0870000087</v>
      </c>
      <c r="S41" s="33">
        <f t="shared" si="29"/>
        <v>1064712.0329999905</v>
      </c>
      <c r="T41" s="33">
        <f t="shared" si="30"/>
        <v>4490136.099000011</v>
      </c>
      <c r="U41" s="33">
        <f t="shared" si="31"/>
        <v>677544.0209999885</v>
      </c>
      <c r="V41" s="33">
        <f t="shared" si="32"/>
        <v>4877304.111000013</v>
      </c>
      <c r="W41" s="33">
        <f t="shared" si="33"/>
        <v>290376.0089999866</v>
      </c>
    </row>
    <row r="42" spans="1:23" ht="15">
      <c r="A42" s="27"/>
      <c r="B42" s="32">
        <v>5</v>
      </c>
      <c r="C42" s="33">
        <f t="shared" si="14"/>
        <v>5167680.119999999</v>
      </c>
      <c r="D42" s="33">
        <f t="shared" si="15"/>
        <v>1425056.0039999997</v>
      </c>
      <c r="E42" s="33">
        <f t="shared" si="16"/>
        <v>3742624.1159999995</v>
      </c>
      <c r="F42" s="33">
        <f t="shared" si="17"/>
        <v>1812224.015999999</v>
      </c>
      <c r="G42" s="33">
        <f>C42-F42</f>
        <v>3355456.1040000003</v>
      </c>
      <c r="H42" s="33">
        <f t="shared" si="19"/>
        <v>2199392.027999999</v>
      </c>
      <c r="I42" s="33">
        <f t="shared" si="34"/>
        <v>2968288.092</v>
      </c>
      <c r="J42" s="33">
        <f t="shared" si="20"/>
        <v>2586560.040000001</v>
      </c>
      <c r="K42" s="33">
        <f t="shared" si="21"/>
        <v>2581120.079999998</v>
      </c>
      <c r="L42" s="33">
        <f t="shared" si="22"/>
        <v>2973728.052000003</v>
      </c>
      <c r="M42" s="34">
        <f t="shared" si="23"/>
        <v>2193952.0679999962</v>
      </c>
      <c r="N42" s="33">
        <f t="shared" si="24"/>
        <v>3360896.064000005</v>
      </c>
      <c r="O42" s="33">
        <f t="shared" si="25"/>
        <v>1806784.0559999943</v>
      </c>
      <c r="P42" s="34">
        <f t="shared" si="26"/>
        <v>3748064.076000007</v>
      </c>
      <c r="Q42" s="33">
        <f t="shared" si="27"/>
        <v>1419616.0439999923</v>
      </c>
      <c r="R42" s="33">
        <f t="shared" si="28"/>
        <v>4135232.088000009</v>
      </c>
      <c r="S42" s="33">
        <f t="shared" si="29"/>
        <v>1032448.0319999903</v>
      </c>
      <c r="T42" s="33">
        <f t="shared" si="30"/>
        <v>4522400.100000011</v>
      </c>
      <c r="U42" s="33">
        <f t="shared" si="31"/>
        <v>645280.0199999884</v>
      </c>
      <c r="V42" s="33">
        <f t="shared" si="32"/>
        <v>4909568.112000013</v>
      </c>
      <c r="W42" s="33">
        <f t="shared" si="33"/>
        <v>258112.0079999864</v>
      </c>
    </row>
    <row r="43" spans="1:23" ht="15">
      <c r="A43" s="27"/>
      <c r="B43" s="32">
        <v>6</v>
      </c>
      <c r="C43" s="33">
        <f t="shared" si="14"/>
        <v>5167680.119999999</v>
      </c>
      <c r="D43" s="33">
        <f t="shared" si="15"/>
        <v>1457320.0049999997</v>
      </c>
      <c r="E43" s="33">
        <f t="shared" si="16"/>
        <v>3710360.1149999993</v>
      </c>
      <c r="F43" s="33">
        <f t="shared" si="17"/>
        <v>1844488.0169999988</v>
      </c>
      <c r="G43" s="33">
        <f t="shared" si="18"/>
        <v>3323192.103</v>
      </c>
      <c r="H43" s="33">
        <f t="shared" si="19"/>
        <v>2231656.028999999</v>
      </c>
      <c r="I43" s="33">
        <f t="shared" si="34"/>
        <v>2936024.091</v>
      </c>
      <c r="J43" s="33">
        <f t="shared" si="20"/>
        <v>2618824.041000001</v>
      </c>
      <c r="K43" s="33">
        <f t="shared" si="21"/>
        <v>2548856.078999998</v>
      </c>
      <c r="L43" s="33">
        <f t="shared" si="22"/>
        <v>3005992.053000003</v>
      </c>
      <c r="M43" s="34">
        <f t="shared" si="23"/>
        <v>2161688.066999996</v>
      </c>
      <c r="N43" s="33">
        <f t="shared" si="24"/>
        <v>3393160.065000005</v>
      </c>
      <c r="O43" s="33">
        <f t="shared" si="25"/>
        <v>1774520.054999994</v>
      </c>
      <c r="P43" s="34">
        <f t="shared" si="26"/>
        <v>3780328.077000007</v>
      </c>
      <c r="Q43" s="33">
        <f t="shared" si="27"/>
        <v>1387352.0429999921</v>
      </c>
      <c r="R43" s="33">
        <f t="shared" si="28"/>
        <v>4167496.089000009</v>
      </c>
      <c r="S43" s="33">
        <f t="shared" si="29"/>
        <v>1000184.0309999902</v>
      </c>
      <c r="T43" s="33">
        <f t="shared" si="30"/>
        <v>4554664.101000011</v>
      </c>
      <c r="U43" s="33">
        <f t="shared" si="31"/>
        <v>613016.0189999882</v>
      </c>
      <c r="V43" s="33">
        <f t="shared" si="32"/>
        <v>4941832.113000013</v>
      </c>
      <c r="W43" s="33">
        <f t="shared" si="33"/>
        <v>225848.00699998625</v>
      </c>
    </row>
    <row r="44" spans="1:23" ht="15">
      <c r="A44" s="27"/>
      <c r="B44" s="32">
        <v>7</v>
      </c>
      <c r="C44" s="33">
        <f t="shared" si="14"/>
        <v>5167680.119999999</v>
      </c>
      <c r="D44" s="33">
        <f t="shared" si="15"/>
        <v>1489584.0059999996</v>
      </c>
      <c r="E44" s="33">
        <f t="shared" si="16"/>
        <v>3678096.1139999996</v>
      </c>
      <c r="F44" s="33">
        <f t="shared" si="17"/>
        <v>1876752.0179999988</v>
      </c>
      <c r="G44" s="33">
        <f t="shared" si="18"/>
        <v>3290928.1020000004</v>
      </c>
      <c r="H44" s="33">
        <f t="shared" si="19"/>
        <v>2263920.0299999993</v>
      </c>
      <c r="I44" s="33">
        <f t="shared" si="34"/>
        <v>2903760.09</v>
      </c>
      <c r="J44" s="33">
        <f t="shared" si="20"/>
        <v>2651088.0420000013</v>
      </c>
      <c r="K44" s="33">
        <f t="shared" si="21"/>
        <v>2516592.077999998</v>
      </c>
      <c r="L44" s="33">
        <f t="shared" si="22"/>
        <v>3038256.0540000033</v>
      </c>
      <c r="M44" s="34">
        <f t="shared" si="23"/>
        <v>2129424.065999996</v>
      </c>
      <c r="N44" s="33">
        <f t="shared" si="24"/>
        <v>3425424.066000005</v>
      </c>
      <c r="O44" s="33">
        <f t="shared" si="25"/>
        <v>1742256.053999994</v>
      </c>
      <c r="P44" s="34">
        <f t="shared" si="26"/>
        <v>3812592.078000007</v>
      </c>
      <c r="Q44" s="33">
        <f t="shared" si="27"/>
        <v>1355088.041999992</v>
      </c>
      <c r="R44" s="33">
        <f t="shared" si="28"/>
        <v>4199760.090000009</v>
      </c>
      <c r="S44" s="33">
        <f t="shared" si="29"/>
        <v>967920.02999999</v>
      </c>
      <c r="T44" s="33">
        <f t="shared" si="30"/>
        <v>4586928.102000011</v>
      </c>
      <c r="U44" s="33">
        <f t="shared" si="31"/>
        <v>580752.017999988</v>
      </c>
      <c r="V44" s="33">
        <f t="shared" si="32"/>
        <v>4974096.114000013</v>
      </c>
      <c r="W44" s="33">
        <f t="shared" si="33"/>
        <v>193584.00599998608</v>
      </c>
    </row>
    <row r="45" spans="1:23" ht="15">
      <c r="A45" s="27"/>
      <c r="B45" s="32">
        <v>8</v>
      </c>
      <c r="C45" s="33">
        <f t="shared" si="14"/>
        <v>5167680.119999999</v>
      </c>
      <c r="D45" s="33">
        <f t="shared" si="15"/>
        <v>1521848.0069999995</v>
      </c>
      <c r="E45" s="33">
        <f t="shared" si="16"/>
        <v>3645832.113</v>
      </c>
      <c r="F45" s="33">
        <f t="shared" si="17"/>
        <v>1909016.0189999987</v>
      </c>
      <c r="G45" s="33">
        <f t="shared" si="18"/>
        <v>3258664.1010000007</v>
      </c>
      <c r="H45" s="33">
        <f t="shared" si="19"/>
        <v>2296184.0309999995</v>
      </c>
      <c r="I45" s="33">
        <f t="shared" si="34"/>
        <v>2871496.0889999997</v>
      </c>
      <c r="J45" s="33">
        <f t="shared" si="20"/>
        <v>2683352.0430000015</v>
      </c>
      <c r="K45" s="33">
        <f t="shared" si="21"/>
        <v>2484328.0769999977</v>
      </c>
      <c r="L45" s="33">
        <f t="shared" si="22"/>
        <v>3070520.0550000034</v>
      </c>
      <c r="M45" s="34">
        <f t="shared" si="23"/>
        <v>2097160.0649999958</v>
      </c>
      <c r="N45" s="33">
        <f t="shared" si="24"/>
        <v>3457688.0670000054</v>
      </c>
      <c r="O45" s="33">
        <f t="shared" si="25"/>
        <v>1709992.0529999938</v>
      </c>
      <c r="P45" s="34">
        <f t="shared" si="26"/>
        <v>3844856.0790000074</v>
      </c>
      <c r="Q45" s="33">
        <f t="shared" si="27"/>
        <v>1322824.0409999918</v>
      </c>
      <c r="R45" s="33">
        <f t="shared" si="28"/>
        <v>4232024.091000009</v>
      </c>
      <c r="S45" s="33">
        <f t="shared" si="29"/>
        <v>935656.0289999899</v>
      </c>
      <c r="T45" s="33">
        <f t="shared" si="30"/>
        <v>4619192.103000011</v>
      </c>
      <c r="U45" s="33">
        <f t="shared" si="31"/>
        <v>548488.0169999879</v>
      </c>
      <c r="V45" s="33">
        <f t="shared" si="32"/>
        <v>5006360.115000013</v>
      </c>
      <c r="W45" s="33">
        <f t="shared" si="33"/>
        <v>161320.00499998592</v>
      </c>
    </row>
    <row r="46" spans="1:23" ht="15">
      <c r="A46" s="27"/>
      <c r="B46" s="32">
        <v>9</v>
      </c>
      <c r="C46" s="33">
        <f t="shared" si="14"/>
        <v>5167680.119999999</v>
      </c>
      <c r="D46" s="33">
        <f t="shared" si="15"/>
        <v>1554112.0079999994</v>
      </c>
      <c r="E46" s="33">
        <f t="shared" si="16"/>
        <v>3613568.1119999997</v>
      </c>
      <c r="F46" s="33">
        <f t="shared" si="17"/>
        <v>1941280.0199999986</v>
      </c>
      <c r="G46" s="33">
        <f t="shared" si="18"/>
        <v>3226400.1000000006</v>
      </c>
      <c r="H46" s="33">
        <f t="shared" si="19"/>
        <v>2328448.0319999997</v>
      </c>
      <c r="I46" s="33">
        <f t="shared" si="34"/>
        <v>2839232.0879999995</v>
      </c>
      <c r="J46" s="33">
        <f t="shared" si="20"/>
        <v>2715616.0440000016</v>
      </c>
      <c r="K46" s="33">
        <f t="shared" si="21"/>
        <v>2452064.0759999976</v>
      </c>
      <c r="L46" s="33">
        <f t="shared" si="22"/>
        <v>3102784.0560000036</v>
      </c>
      <c r="M46" s="34">
        <f t="shared" si="23"/>
        <v>2064896.0639999956</v>
      </c>
      <c r="N46" s="33">
        <f t="shared" si="24"/>
        <v>3489952.0680000056</v>
      </c>
      <c r="O46" s="33">
        <f t="shared" si="25"/>
        <v>1677728.0519999936</v>
      </c>
      <c r="P46" s="34">
        <f t="shared" si="26"/>
        <v>3877120.0800000075</v>
      </c>
      <c r="Q46" s="33">
        <f t="shared" si="27"/>
        <v>1290560.0399999917</v>
      </c>
      <c r="R46" s="33">
        <f t="shared" si="28"/>
        <v>4264288.0920000095</v>
      </c>
      <c r="S46" s="33">
        <f t="shared" si="29"/>
        <v>903392.0279999897</v>
      </c>
      <c r="T46" s="33">
        <f t="shared" si="30"/>
        <v>4651456.104000011</v>
      </c>
      <c r="U46" s="33">
        <f t="shared" si="31"/>
        <v>516224.0159999877</v>
      </c>
      <c r="V46" s="33">
        <f t="shared" si="32"/>
        <v>5038624.116000013</v>
      </c>
      <c r="W46" s="33">
        <f t="shared" si="33"/>
        <v>129056.00399998575</v>
      </c>
    </row>
    <row r="47" spans="1:23" ht="15">
      <c r="A47" s="27"/>
      <c r="B47" s="32">
        <v>10</v>
      </c>
      <c r="C47" s="33">
        <f t="shared" si="14"/>
        <v>5167680.119999999</v>
      </c>
      <c r="D47" s="33">
        <f t="shared" si="15"/>
        <v>1586376.0089999994</v>
      </c>
      <c r="E47" s="33">
        <f t="shared" si="16"/>
        <v>3581304.1109999996</v>
      </c>
      <c r="F47" s="33">
        <f t="shared" si="17"/>
        <v>1973544.0209999986</v>
      </c>
      <c r="G47" s="33">
        <f t="shared" si="18"/>
        <v>3194136.0990000004</v>
      </c>
      <c r="H47" s="33">
        <f t="shared" si="19"/>
        <v>2360712.033</v>
      </c>
      <c r="I47" s="33">
        <f t="shared" si="34"/>
        <v>2806968.0869999994</v>
      </c>
      <c r="J47" s="33">
        <f t="shared" si="20"/>
        <v>2747880.045000002</v>
      </c>
      <c r="K47" s="33">
        <f t="shared" si="21"/>
        <v>2419800.0749999974</v>
      </c>
      <c r="L47" s="33">
        <f t="shared" si="22"/>
        <v>3135048.0570000038</v>
      </c>
      <c r="M47" s="34">
        <f t="shared" si="23"/>
        <v>2032632.0629999954</v>
      </c>
      <c r="N47" s="33">
        <f t="shared" si="24"/>
        <v>3522216.0690000057</v>
      </c>
      <c r="O47" s="33">
        <f t="shared" si="25"/>
        <v>1645464.0509999935</v>
      </c>
      <c r="P47" s="34">
        <f t="shared" si="26"/>
        <v>3909384.0810000077</v>
      </c>
      <c r="Q47" s="33">
        <f t="shared" si="27"/>
        <v>1258296.0389999915</v>
      </c>
      <c r="R47" s="33">
        <f t="shared" si="28"/>
        <v>4296552.09300001</v>
      </c>
      <c r="S47" s="33">
        <f t="shared" si="29"/>
        <v>871128.0269999895</v>
      </c>
      <c r="T47" s="33">
        <f t="shared" si="30"/>
        <v>4683720.105000012</v>
      </c>
      <c r="U47" s="33">
        <f t="shared" si="31"/>
        <v>483960.01499998756</v>
      </c>
      <c r="V47" s="33">
        <f t="shared" si="32"/>
        <v>5070888.117000014</v>
      </c>
      <c r="W47" s="33">
        <f t="shared" si="33"/>
        <v>96792.00299998559</v>
      </c>
    </row>
    <row r="48" spans="1:23" ht="15">
      <c r="A48" s="27"/>
      <c r="B48" s="32">
        <v>11</v>
      </c>
      <c r="C48" s="33">
        <f t="shared" si="14"/>
        <v>5167680.119999999</v>
      </c>
      <c r="D48" s="33">
        <f t="shared" si="15"/>
        <v>1618640.0099999993</v>
      </c>
      <c r="E48" s="33">
        <f t="shared" si="16"/>
        <v>3549040.11</v>
      </c>
      <c r="F48" s="33">
        <f t="shared" si="17"/>
        <v>2005808.0219999985</v>
      </c>
      <c r="G48" s="33">
        <f t="shared" si="18"/>
        <v>3161872.0980000007</v>
      </c>
      <c r="H48" s="33">
        <f t="shared" si="19"/>
        <v>2392976.034</v>
      </c>
      <c r="I48" s="33">
        <f t="shared" si="34"/>
        <v>2774704.085999999</v>
      </c>
      <c r="J48" s="33">
        <f t="shared" si="20"/>
        <v>2780144.046000002</v>
      </c>
      <c r="K48" s="33">
        <f t="shared" si="21"/>
        <v>2387536.073999997</v>
      </c>
      <c r="L48" s="33">
        <f t="shared" si="22"/>
        <v>3167312.058000004</v>
      </c>
      <c r="M48" s="34">
        <f t="shared" si="23"/>
        <v>2000368.0619999953</v>
      </c>
      <c r="N48" s="33">
        <f t="shared" si="24"/>
        <v>3554480.070000006</v>
      </c>
      <c r="O48" s="33">
        <f t="shared" si="25"/>
        <v>1613200.0499999933</v>
      </c>
      <c r="P48" s="34">
        <f t="shared" si="26"/>
        <v>3941648.082000008</v>
      </c>
      <c r="Q48" s="33">
        <f t="shared" si="27"/>
        <v>1226032.0379999913</v>
      </c>
      <c r="R48" s="33">
        <f t="shared" si="28"/>
        <v>4328816.09400001</v>
      </c>
      <c r="S48" s="33">
        <f t="shared" si="29"/>
        <v>838864.0259999894</v>
      </c>
      <c r="T48" s="33">
        <f t="shared" si="30"/>
        <v>4715984.106000012</v>
      </c>
      <c r="U48" s="33">
        <f t="shared" si="31"/>
        <v>451696.0139999874</v>
      </c>
      <c r="V48" s="33">
        <f t="shared" si="32"/>
        <v>5103152.118000014</v>
      </c>
      <c r="W48" s="33">
        <f t="shared" si="33"/>
        <v>64528.00199998543</v>
      </c>
    </row>
    <row r="49" spans="1:23" ht="15">
      <c r="A49" s="27"/>
      <c r="B49" s="32">
        <v>12</v>
      </c>
      <c r="C49" s="33">
        <f t="shared" si="14"/>
        <v>5167680.119999999</v>
      </c>
      <c r="D49" s="33">
        <f t="shared" si="15"/>
        <v>1650904.0109999992</v>
      </c>
      <c r="E49" s="33">
        <f t="shared" si="16"/>
        <v>3516776.109</v>
      </c>
      <c r="F49" s="33">
        <f t="shared" si="17"/>
        <v>2038072.0229999984</v>
      </c>
      <c r="G49" s="33">
        <f t="shared" si="18"/>
        <v>3129608.097000001</v>
      </c>
      <c r="H49" s="33">
        <f t="shared" si="19"/>
        <v>2425240.035</v>
      </c>
      <c r="I49" s="33">
        <f t="shared" si="34"/>
        <v>2742440.084999999</v>
      </c>
      <c r="J49" s="33">
        <f t="shared" si="20"/>
        <v>2812408.047000002</v>
      </c>
      <c r="K49" s="33">
        <f t="shared" si="21"/>
        <v>2355272.072999997</v>
      </c>
      <c r="L49" s="33">
        <f t="shared" si="22"/>
        <v>3199576.059000004</v>
      </c>
      <c r="M49" s="34">
        <f t="shared" si="23"/>
        <v>1968104.060999995</v>
      </c>
      <c r="N49" s="33">
        <f t="shared" si="24"/>
        <v>3586744.071000006</v>
      </c>
      <c r="O49" s="33">
        <f t="shared" si="25"/>
        <v>1580936.0489999931</v>
      </c>
      <c r="P49" s="34">
        <f t="shared" si="26"/>
        <v>3973912.083000008</v>
      </c>
      <c r="Q49" s="33">
        <f t="shared" si="27"/>
        <v>1193768.0369999912</v>
      </c>
      <c r="R49" s="33">
        <f t="shared" si="28"/>
        <v>4361080.09500001</v>
      </c>
      <c r="S49" s="33">
        <f t="shared" si="29"/>
        <v>806600.0249999892</v>
      </c>
      <c r="T49" s="33">
        <f t="shared" si="30"/>
        <v>4748248.107000012</v>
      </c>
      <c r="U49" s="33">
        <f t="shared" si="31"/>
        <v>419432.01299998723</v>
      </c>
      <c r="V49" s="33">
        <f t="shared" si="32"/>
        <v>5135416.119000014</v>
      </c>
      <c r="W49" s="33">
        <f t="shared" si="33"/>
        <v>32264.000999985263</v>
      </c>
    </row>
    <row r="50" spans="1:23" ht="15">
      <c r="A50" s="27"/>
      <c r="B50" s="32">
        <v>13</v>
      </c>
      <c r="C50" s="33">
        <f t="shared" si="14"/>
        <v>5167680.119999999</v>
      </c>
      <c r="D50" s="33">
        <f t="shared" si="15"/>
        <v>1683168.0119999992</v>
      </c>
      <c r="E50" s="33">
        <f t="shared" si="16"/>
        <v>3484512.108</v>
      </c>
      <c r="F50" s="33">
        <f t="shared" si="17"/>
        <v>2070336.0239999983</v>
      </c>
      <c r="G50" s="33">
        <f t="shared" si="18"/>
        <v>3097344.096000001</v>
      </c>
      <c r="H50" s="33">
        <f t="shared" si="19"/>
        <v>2457504.0360000003</v>
      </c>
      <c r="I50" s="33">
        <f t="shared" si="34"/>
        <v>2710176.083999999</v>
      </c>
      <c r="J50" s="33">
        <f t="shared" si="20"/>
        <v>2844672.0480000023</v>
      </c>
      <c r="K50" s="33">
        <f t="shared" si="21"/>
        <v>2323008.071999997</v>
      </c>
      <c r="L50" s="33">
        <f t="shared" si="22"/>
        <v>3231840.0600000042</v>
      </c>
      <c r="M50" s="34">
        <f t="shared" si="23"/>
        <v>1935840.059999995</v>
      </c>
      <c r="N50" s="33">
        <f t="shared" si="24"/>
        <v>3619008.072000006</v>
      </c>
      <c r="O50" s="33">
        <f t="shared" si="25"/>
        <v>1548672.047999993</v>
      </c>
      <c r="P50" s="34">
        <f t="shared" si="26"/>
        <v>4006176.084000008</v>
      </c>
      <c r="Q50" s="33">
        <f t="shared" si="27"/>
        <v>1161504.035999991</v>
      </c>
      <c r="R50" s="33">
        <f t="shared" si="28"/>
        <v>4393344.09600001</v>
      </c>
      <c r="S50" s="33">
        <f t="shared" si="29"/>
        <v>774336.023999989</v>
      </c>
      <c r="T50" s="33">
        <f t="shared" si="30"/>
        <v>4780512.108000012</v>
      </c>
      <c r="U50" s="33">
        <f t="shared" si="31"/>
        <v>387168.01199998707</v>
      </c>
      <c r="V50" s="33">
        <f t="shared" si="32"/>
        <v>5167680.120000014</v>
      </c>
      <c r="W50" s="33">
        <f t="shared" si="33"/>
        <v>-1.4901161193847656E-08</v>
      </c>
    </row>
    <row r="51" spans="2:23" ht="15">
      <c r="B51" s="32"/>
      <c r="C51" s="33"/>
      <c r="D51" s="32"/>
      <c r="E51" s="33">
        <f>SUM(E38:E50)</f>
        <v>47815249.482</v>
      </c>
      <c r="F51" s="32"/>
      <c r="G51" s="33">
        <f>SUM(G38:G50)</f>
        <v>42782065.326000005</v>
      </c>
      <c r="H51" s="33"/>
      <c r="I51" s="33">
        <f>SUM(I38:I50)</f>
        <v>37748881.169999994</v>
      </c>
      <c r="J51" s="32"/>
      <c r="K51" s="33">
        <f>SUM(K38:K50)</f>
        <v>32715697.01399997</v>
      </c>
      <c r="L51" s="32"/>
      <c r="M51" s="34">
        <f>SUM(M38:M50)</f>
        <v>27682512.857999943</v>
      </c>
      <c r="N51" s="32"/>
      <c r="O51" s="33">
        <f>SUM(O38:O50)</f>
        <v>22649328.701999918</v>
      </c>
      <c r="P51" s="34"/>
      <c r="Q51" s="33">
        <f>SUM(Q38:Q50)</f>
        <v>17616144.545999896</v>
      </c>
      <c r="R51" s="32"/>
      <c r="S51" s="33">
        <f>SUM(S38:S50)</f>
        <v>12582960.38999987</v>
      </c>
      <c r="T51" s="32"/>
      <c r="U51" s="33">
        <f>SUM(U38:U50)</f>
        <v>7549776.233999845</v>
      </c>
      <c r="V51" s="32"/>
      <c r="W51" s="33">
        <f>SUM(W38:W50)</f>
        <v>2516592.077999819</v>
      </c>
    </row>
    <row r="52" spans="2:23" ht="15">
      <c r="B52" s="32"/>
      <c r="C52" s="33"/>
      <c r="D52" s="32"/>
      <c r="E52" s="33">
        <f>E51/13</f>
        <v>3678096.114</v>
      </c>
      <c r="F52" s="32"/>
      <c r="G52" s="33">
        <f>G51/13</f>
        <v>3290928.1020000004</v>
      </c>
      <c r="H52" s="32"/>
      <c r="I52" s="33">
        <f>AVERAGE(I38:I50)</f>
        <v>2903760.0899999994</v>
      </c>
      <c r="J52" s="32"/>
      <c r="K52" s="33">
        <f>AVERAGE(K38:K50)</f>
        <v>2516592.0779999974</v>
      </c>
      <c r="L52" s="32"/>
      <c r="M52" s="34">
        <f>AVERAGE(M38:M50)</f>
        <v>2129424.0659999955</v>
      </c>
      <c r="N52" s="32"/>
      <c r="O52" s="33">
        <f>AVERAGE(O38:O50)</f>
        <v>1742256.0539999937</v>
      </c>
      <c r="P52" s="34"/>
      <c r="Q52" s="33">
        <f>AVERAGE(Q38:Q50)</f>
        <v>1355088.041999992</v>
      </c>
      <c r="R52" s="32"/>
      <c r="S52" s="33">
        <f>AVERAGE(S38:S50)</f>
        <v>967920.02999999</v>
      </c>
      <c r="T52" s="32"/>
      <c r="U52" s="33">
        <f>AVERAGE(U38:U50)</f>
        <v>580752.017999988</v>
      </c>
      <c r="V52" s="32"/>
      <c r="W52" s="33">
        <f>AVERAGE(W38:W50)</f>
        <v>193584.00599998608</v>
      </c>
    </row>
    <row r="53" spans="2:23" ht="15">
      <c r="B53" s="32"/>
      <c r="C53" s="33"/>
      <c r="D53" s="32"/>
      <c r="E53" s="33">
        <f>E52*2.2/100</f>
        <v>80918.11450800001</v>
      </c>
      <c r="F53" s="32"/>
      <c r="G53" s="33">
        <f>G52*0.022</f>
        <v>72400.418244</v>
      </c>
      <c r="H53" s="32"/>
      <c r="I53" s="33">
        <f>G36*I52</f>
        <v>63882.72197999998</v>
      </c>
      <c r="J53" s="32"/>
      <c r="K53" s="33">
        <f>K52*G36</f>
        <v>55365.02571599994</v>
      </c>
      <c r="L53" s="32"/>
      <c r="M53" s="34">
        <f>M52*G36</f>
        <v>46847.329451999896</v>
      </c>
      <c r="N53" s="32"/>
      <c r="O53" s="33">
        <f>O52*G36</f>
        <v>38329.63318799986</v>
      </c>
      <c r="P53" s="34"/>
      <c r="Q53" s="33">
        <f>Q52*G36</f>
        <v>29811.936923999823</v>
      </c>
      <c r="R53" s="32"/>
      <c r="S53" s="33">
        <f>S52*G36</f>
        <v>21294.240659999778</v>
      </c>
      <c r="T53" s="32"/>
      <c r="U53" s="33">
        <f>U52*G36</f>
        <v>12776.544395999736</v>
      </c>
      <c r="V53" s="32"/>
      <c r="W53" s="33">
        <f>W52*G36</f>
        <v>4258.848131999694</v>
      </c>
    </row>
    <row r="54" spans="2:9" ht="15">
      <c r="B54" s="27"/>
      <c r="E54" s="35">
        <f>C38+SUMPRODUCT(C38*ROW(1:13)^0-$D36*ROW(1:13))</f>
        <v>69411497.58899999</v>
      </c>
      <c r="G54" s="35">
        <f>G38+SUMPRODUCT(G38*ROW(1:13)^0-$D36*ROW(1:13))</f>
        <v>45847145.421000004</v>
      </c>
      <c r="I54" s="35">
        <f>I38+SUMPRODUCT(I38*ROW(1:13)^0-$D36*ROW(1:13))</f>
        <v>40426793.25300001</v>
      </c>
    </row>
    <row r="55" spans="1:3" ht="15">
      <c r="A55" s="27"/>
      <c r="B55" s="2"/>
      <c r="C55" s="27"/>
    </row>
    <row r="56" spans="3:4" ht="15">
      <c r="C56" s="2"/>
      <c r="D56" s="27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spans="3:5" ht="15">
      <c r="C67" s="2"/>
      <c r="D67" s="27"/>
      <c r="E67" s="27"/>
    </row>
    <row r="68" spans="3:5" ht="15">
      <c r="C68" s="2"/>
      <c r="D68" s="27"/>
      <c r="E68" s="27"/>
    </row>
    <row r="69" spans="1:7" ht="15">
      <c r="A69" s="36"/>
      <c r="B69" s="36"/>
      <c r="C69" s="37"/>
      <c r="D69" s="36"/>
      <c r="E69" s="36"/>
      <c r="F69" s="36"/>
      <c r="G69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 &amp; SanBuild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2к</dc:creator>
  <cp:keywords/>
  <dc:description/>
  <cp:lastModifiedBy>2к</cp:lastModifiedBy>
  <dcterms:created xsi:type="dcterms:W3CDTF">2013-05-10T19:34:51Z</dcterms:created>
  <dcterms:modified xsi:type="dcterms:W3CDTF">2013-05-10T19:36:43Z</dcterms:modified>
  <cp:category/>
  <cp:version/>
  <cp:contentType/>
  <cp:contentStatus/>
</cp:coreProperties>
</file>